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0" yWindow="65516" windowWidth="11570" windowHeight="8550" tabRatio="7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<sst xmlns="http://schemas.openxmlformats.org/spreadsheetml/2006/main" count="4164" uniqueCount="974">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</sst>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left" vertical="center"/>
      <protection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44196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44302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44302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-0.015576406325712524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-0.023239510673349926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-0.07095272493779597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-0.016643185048746584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0.9801873910392388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1.4197599604058402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0.718402004454343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0.12373174956693887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0.12373174956693887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1.2570741917978139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1.0684868319898082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0.04236982335417278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0.3275351396824284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0.23456724267232318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829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0.0036322689193452277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0.03146885824265045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6.937726218097448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56442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49298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3484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21397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6378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262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3726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2861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143848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80446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125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1454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85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1664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39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39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896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896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226893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3598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1312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39871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140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44921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32975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958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2366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329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1821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38449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434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7566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8000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426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91796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318689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14491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22977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5921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5921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43389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171788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171788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-5304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166484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228232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15703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260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4839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1142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6241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3808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49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10098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25455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23684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14714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1277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1405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562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5717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14093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1386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64618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38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64656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318689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8204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13758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9946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23200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4227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280061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29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7489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4204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346914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829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428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226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926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2409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349323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349323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-735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302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-1037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348588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6292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318650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4584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10989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340515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1496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94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78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219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391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342402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6921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342402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6921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6186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882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5304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348588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411184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-331101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-27479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-50450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-615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123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-1260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24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253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679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-5822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5361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-3949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3725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-685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211323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-209377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-158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363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2151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2145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5855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8000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8000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24287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24287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-9796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14491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14491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23033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23033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788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788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-844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22977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22977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5225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5225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696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696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5921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5921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151876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151876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-696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-696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10812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161992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161992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-5304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9796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4492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4492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222780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222780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-5304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788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788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9968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228232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228232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28159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28159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-882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-11574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15703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15703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58669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76369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33116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46770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34624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6975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3052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7356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266931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81476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245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868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486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1599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39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39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350045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818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963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530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165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835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553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3746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575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8185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1367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1397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16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1413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10965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1759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2575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4133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3697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1458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171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3068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512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17373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2364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7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101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19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127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19864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57728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74757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29513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43238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34001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7357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3730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7419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257743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80479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238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2164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483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2885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39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39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341146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93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100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1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194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83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277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1379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117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605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5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2106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116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2222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56442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74740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28908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43238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34001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7357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3726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7419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255831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80446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238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2164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483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2885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39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39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339201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25299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28258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22420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25301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6637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4227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112142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91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764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397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1252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113394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2113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1263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1524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3508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618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825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9851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27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47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21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95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9946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1274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4097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2103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1186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160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494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9314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5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101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20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126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9440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26138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25424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21841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27623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7095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4558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112679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113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710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398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1221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113900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4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4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4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700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700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700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25442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25424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21841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27623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7095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4558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111983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113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710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398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1221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113204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56442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49298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3484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21397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6378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262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3726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2861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143848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80446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125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1454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85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1664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39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39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225997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896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896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896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1812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32975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958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2192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174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329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74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253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1821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1821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38449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41157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32975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958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2192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174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329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74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253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1821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1821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38449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38449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896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896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896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1812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2708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260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260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4839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3341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1498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1142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6241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5620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25455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23705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1750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23684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14723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1277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1405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5717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236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1181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4300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562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14093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63232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75093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25455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23705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1750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23684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14723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1277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1405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5717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236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1181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4300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562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14093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63232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63232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260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260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4839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3341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1498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1142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6241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5620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11861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1363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1363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23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23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1386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1386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73151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73151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39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39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D55" sqref="D5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56442</v>
      </c>
      <c r="D12" s="188">
        <v>58669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49298</v>
      </c>
      <c r="D13" s="188">
        <v>51070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3484</v>
      </c>
      <c r="D14" s="188">
        <v>4858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21397</v>
      </c>
      <c r="D15" s="188">
        <v>24350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6378</v>
      </c>
      <c r="D16" s="188">
        <v>9323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262</v>
      </c>
      <c r="D17" s="188">
        <v>338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3726</v>
      </c>
      <c r="D18" s="188">
        <v>3052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">
      <c r="A19" s="84" t="s">
        <v>49</v>
      </c>
      <c r="B19" s="86" t="s">
        <v>50</v>
      </c>
      <c r="C19" s="188">
        <v>2861</v>
      </c>
      <c r="D19" s="188">
        <v>3129</v>
      </c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143848</v>
      </c>
      <c r="D20" s="567">
        <f>SUM(D12:D19)</f>
        <v>154789</v>
      </c>
      <c r="E20" s="84" t="s">
        <v>54</v>
      </c>
      <c r="F20" s="87" t="s">
        <v>55</v>
      </c>
      <c r="G20" s="188">
        <v>14491</v>
      </c>
      <c r="H20" s="187">
        <v>24287</v>
      </c>
    </row>
    <row r="21" spans="1:8" ht="15">
      <c r="A21" s="94" t="s">
        <v>56</v>
      </c>
      <c r="B21" s="90" t="s">
        <v>57</v>
      </c>
      <c r="C21" s="463">
        <v>80446</v>
      </c>
      <c r="D21" s="463">
        <v>81476</v>
      </c>
      <c r="E21" s="84" t="s">
        <v>58</v>
      </c>
      <c r="F21" s="87" t="s">
        <v>59</v>
      </c>
      <c r="G21" s="188">
        <v>22977</v>
      </c>
      <c r="H21" s="187">
        <v>23033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5921</v>
      </c>
      <c r="H22" s="583">
        <f>SUM(H23:H25)</f>
        <v>5225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5921</v>
      </c>
      <c r="H23" s="187">
        <v>5225</v>
      </c>
    </row>
    <row r="24" spans="1:13" ht="15">
      <c r="A24" s="84" t="s">
        <v>67</v>
      </c>
      <c r="B24" s="86" t="s">
        <v>68</v>
      </c>
      <c r="C24" s="188">
        <v>125</v>
      </c>
      <c r="D24" s="188">
        <v>154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1454</v>
      </c>
      <c r="D25" s="188">
        <v>104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43389</v>
      </c>
      <c r="H26" s="567">
        <f>H20+H21+H22</f>
        <v>52545</v>
      </c>
      <c r="M26" s="92"/>
    </row>
    <row r="27" spans="1:8" ht="15">
      <c r="A27" s="84" t="s">
        <v>79</v>
      </c>
      <c r="B27" s="86" t="s">
        <v>80</v>
      </c>
      <c r="C27" s="188">
        <v>85</v>
      </c>
      <c r="D27" s="188">
        <v>89</v>
      </c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1664</v>
      </c>
      <c r="D28" s="567">
        <f>SUM(D24:D27)</f>
        <v>347</v>
      </c>
      <c r="E28" s="193" t="s">
        <v>84</v>
      </c>
      <c r="F28" s="87" t="s">
        <v>85</v>
      </c>
      <c r="G28" s="564">
        <f>SUM(G29:G31)</f>
        <v>171788</v>
      </c>
      <c r="H28" s="565">
        <f>SUM(H29:H31)</f>
        <v>150812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171788</v>
      </c>
      <c r="H29" s="187">
        <v>150812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>
        <v>525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1064</v>
      </c>
      <c r="M32" s="92"/>
    </row>
    <row r="33" spans="1:8" ht="15">
      <c r="A33" s="469" t="s">
        <v>99</v>
      </c>
      <c r="B33" s="91" t="s">
        <v>100</v>
      </c>
      <c r="C33" s="566">
        <f>C31+C32</f>
        <v>0</v>
      </c>
      <c r="D33" s="567">
        <f>D31+D32</f>
        <v>525</v>
      </c>
      <c r="E33" s="191" t="s">
        <v>101</v>
      </c>
      <c r="F33" s="87" t="s">
        <v>102</v>
      </c>
      <c r="G33" s="188">
        <v>-5304</v>
      </c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166484</v>
      </c>
      <c r="H34" s="567">
        <f>H28+H32+H33</f>
        <v>151876</v>
      </c>
    </row>
    <row r="35" spans="1:8" ht="15">
      <c r="A35" s="84" t="s">
        <v>106</v>
      </c>
      <c r="B35" s="88" t="s">
        <v>107</v>
      </c>
      <c r="C35" s="564">
        <f>SUM(C36:C39)</f>
        <v>39</v>
      </c>
      <c r="D35" s="565">
        <f>SUM(D36:D39)</f>
        <v>39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228232</v>
      </c>
      <c r="H37" s="569">
        <f>H26+H18+H34</f>
        <v>222780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15703</v>
      </c>
      <c r="H40" s="552">
        <v>28159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260</v>
      </c>
      <c r="H44" s="188">
        <v>570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4839</v>
      </c>
      <c r="H45" s="188">
        <v>7346</v>
      </c>
    </row>
    <row r="46" spans="1:13" ht="15">
      <c r="A46" s="460" t="s">
        <v>137</v>
      </c>
      <c r="B46" s="90" t="s">
        <v>138</v>
      </c>
      <c r="C46" s="566">
        <f>C35+C40+C45</f>
        <v>39</v>
      </c>
      <c r="D46" s="567">
        <f>D35+D40+D45</f>
        <v>39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1142</v>
      </c>
      <c r="H49" s="188">
        <v>2905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6241</v>
      </c>
      <c r="H50" s="565">
        <f>SUM(H44:H49)</f>
        <v>10821</v>
      </c>
    </row>
    <row r="51" spans="1:8" ht="15">
      <c r="A51" s="84" t="s">
        <v>79</v>
      </c>
      <c r="B51" s="86" t="s">
        <v>155</v>
      </c>
      <c r="C51" s="188">
        <v>896</v>
      </c>
      <c r="D51" s="187">
        <v>984</v>
      </c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896</v>
      </c>
      <c r="D52" s="567">
        <f>SUM(D48:D51)</f>
        <v>984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3808</v>
      </c>
      <c r="H54" s="188">
        <v>4873</v>
      </c>
    </row>
    <row r="55" spans="1:8" ht="1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>
        <v>49</v>
      </c>
      <c r="H55" s="188">
        <v>55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226893</v>
      </c>
      <c r="D56" s="571">
        <f>D20+D21+D22+D28+D33+D46+D52+D54+D55</f>
        <v>238160</v>
      </c>
      <c r="E56" s="94" t="s">
        <v>825</v>
      </c>
      <c r="F56" s="93" t="s">
        <v>172</v>
      </c>
      <c r="G56" s="568">
        <f>G50+G52+G53+G54+G55</f>
        <v>10098</v>
      </c>
      <c r="H56" s="569">
        <f>H50+H52+H53+H54+H55</f>
        <v>15749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3598</v>
      </c>
      <c r="D59" s="188">
        <v>5616</v>
      </c>
      <c r="E59" s="192" t="s">
        <v>180</v>
      </c>
      <c r="F59" s="473" t="s">
        <v>181</v>
      </c>
      <c r="G59" s="188">
        <v>25455</v>
      </c>
      <c r="H59" s="187">
        <v>20549</v>
      </c>
    </row>
    <row r="60" spans="1:13" ht="15">
      <c r="A60" s="84" t="s">
        <v>178</v>
      </c>
      <c r="B60" s="86" t="s">
        <v>179</v>
      </c>
      <c r="C60" s="188">
        <v>1312</v>
      </c>
      <c r="D60" s="188">
        <v>1366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39871</v>
      </c>
      <c r="D61" s="188">
        <v>45342</v>
      </c>
      <c r="E61" s="191" t="s">
        <v>188</v>
      </c>
      <c r="F61" s="87" t="s">
        <v>189</v>
      </c>
      <c r="G61" s="564">
        <f>SUM(G62:G68)</f>
        <v>23684</v>
      </c>
      <c r="H61" s="565">
        <f>SUM(H62:H68)</f>
        <v>32851</v>
      </c>
    </row>
    <row r="62" spans="1:13" ht="15">
      <c r="A62" s="84" t="s">
        <v>186</v>
      </c>
      <c r="B62" s="88" t="s">
        <v>187</v>
      </c>
      <c r="C62" s="188">
        <v>140</v>
      </c>
      <c r="D62" s="188">
        <v>189</v>
      </c>
      <c r="E62" s="191" t="s">
        <v>192</v>
      </c>
      <c r="F62" s="87" t="s">
        <v>193</v>
      </c>
      <c r="G62" s="188">
        <v>9</v>
      </c>
      <c r="H62" s="188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14714</v>
      </c>
      <c r="H64" s="188">
        <v>21166</v>
      </c>
      <c r="M64" s="92"/>
    </row>
    <row r="65" spans="1:8" ht="15">
      <c r="A65" s="469" t="s">
        <v>52</v>
      </c>
      <c r="B65" s="90" t="s">
        <v>198</v>
      </c>
      <c r="C65" s="566">
        <f>SUM(C59:C64)</f>
        <v>44921</v>
      </c>
      <c r="D65" s="567">
        <f>SUM(D59:D64)</f>
        <v>52513</v>
      </c>
      <c r="E65" s="84" t="s">
        <v>201</v>
      </c>
      <c r="F65" s="87" t="s">
        <v>202</v>
      </c>
      <c r="G65" s="188">
        <v>1277</v>
      </c>
      <c r="H65" s="188">
        <v>2523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1405</v>
      </c>
      <c r="H66" s="188">
        <v>1497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562</v>
      </c>
      <c r="H67" s="188">
        <v>623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5717</v>
      </c>
      <c r="H68" s="188">
        <v>7042</v>
      </c>
    </row>
    <row r="69" spans="1:8" ht="15">
      <c r="A69" s="84" t="s">
        <v>210</v>
      </c>
      <c r="B69" s="86" t="s">
        <v>211</v>
      </c>
      <c r="C69" s="188">
        <v>32975</v>
      </c>
      <c r="D69" s="188">
        <v>28967</v>
      </c>
      <c r="E69" s="192" t="s">
        <v>79</v>
      </c>
      <c r="F69" s="87" t="s">
        <v>216</v>
      </c>
      <c r="G69" s="188">
        <v>14093</v>
      </c>
      <c r="H69" s="188">
        <v>13116</v>
      </c>
    </row>
    <row r="70" spans="1:8" ht="15">
      <c r="A70" s="84" t="s">
        <v>214</v>
      </c>
      <c r="B70" s="86" t="s">
        <v>215</v>
      </c>
      <c r="C70" s="188">
        <v>958</v>
      </c>
      <c r="D70" s="188">
        <v>4585</v>
      </c>
      <c r="E70" s="84" t="s">
        <v>219</v>
      </c>
      <c r="F70" s="87" t="s">
        <v>220</v>
      </c>
      <c r="G70" s="188">
        <v>1386</v>
      </c>
      <c r="H70" s="188">
        <v>1363</v>
      </c>
    </row>
    <row r="71" spans="1:8" ht="1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64618</v>
      </c>
      <c r="H71" s="567">
        <f>H59+H60+H61+H69+H70</f>
        <v>67879</v>
      </c>
    </row>
    <row r="72" spans="1:8" ht="15">
      <c r="A72" s="84" t="s">
        <v>221</v>
      </c>
      <c r="B72" s="86" t="s">
        <v>222</v>
      </c>
      <c r="C72" s="188">
        <v>2366</v>
      </c>
      <c r="D72" s="188">
        <v>2405</v>
      </c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329</v>
      </c>
      <c r="D73" s="188">
        <v>332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1821</v>
      </c>
      <c r="D75" s="188">
        <v>1259</v>
      </c>
      <c r="E75" s="472" t="s">
        <v>160</v>
      </c>
      <c r="F75" s="89" t="s">
        <v>233</v>
      </c>
      <c r="G75" s="465">
        <v>38</v>
      </c>
      <c r="H75" s="466">
        <v>75</v>
      </c>
    </row>
    <row r="76" spans="1:8" ht="15">
      <c r="A76" s="469" t="s">
        <v>77</v>
      </c>
      <c r="B76" s="90" t="s">
        <v>232</v>
      </c>
      <c r="C76" s="566">
        <f>SUM(C68:C75)</f>
        <v>38449</v>
      </c>
      <c r="D76" s="567">
        <f>SUM(D68:D75)</f>
        <v>37548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64656</v>
      </c>
      <c r="H79" s="569">
        <f>H71+H73+H75+H77</f>
        <v>67954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434</v>
      </c>
      <c r="D88" s="188">
        <v>571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7566</v>
      </c>
      <c r="D89" s="188">
        <v>5284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8000</v>
      </c>
      <c r="D92" s="567">
        <f>SUM(D88:D91)</f>
        <v>5855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>
        <v>426</v>
      </c>
      <c r="D93" s="466">
        <v>566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91796</v>
      </c>
      <c r="D94" s="571">
        <f>D65+D76+D85+D92+D93</f>
        <v>96482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318689</v>
      </c>
      <c r="D95" s="573">
        <f>D94+D56</f>
        <v>334642</v>
      </c>
      <c r="E95" s="220" t="s">
        <v>916</v>
      </c>
      <c r="F95" s="476" t="s">
        <v>268</v>
      </c>
      <c r="G95" s="572">
        <f>G37+G40+G56+G79</f>
        <v>318689</v>
      </c>
      <c r="H95" s="573">
        <f>H37+H40+H56+H79</f>
        <v>334642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44302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Стефан Гъндев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tr">
        <f>Начална!B17</f>
        <v>Марин Стоянов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Normal="70" zoomScaleSheetLayoutView="100" zoomScalePageLayoutView="0" workbookViewId="0" topLeftCell="A1">
      <selection activeCell="G16" sqref="G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8204</v>
      </c>
      <c r="D12" s="307">
        <v>11915</v>
      </c>
      <c r="E12" s="185" t="s">
        <v>277</v>
      </c>
      <c r="F12" s="231" t="s">
        <v>278</v>
      </c>
      <c r="G12" s="307">
        <v>6292</v>
      </c>
      <c r="H12" s="307">
        <v>8786</v>
      </c>
    </row>
    <row r="13" spans="1:8" ht="15">
      <c r="A13" s="185" t="s">
        <v>279</v>
      </c>
      <c r="B13" s="181" t="s">
        <v>280</v>
      </c>
      <c r="C13" s="307">
        <v>13758</v>
      </c>
      <c r="D13" s="307">
        <v>12161</v>
      </c>
      <c r="E13" s="185" t="s">
        <v>281</v>
      </c>
      <c r="F13" s="231" t="s">
        <v>282</v>
      </c>
      <c r="G13" s="307">
        <v>318650</v>
      </c>
      <c r="H13" s="307">
        <v>330799</v>
      </c>
    </row>
    <row r="14" spans="1:8" ht="15">
      <c r="A14" s="185" t="s">
        <v>283</v>
      </c>
      <c r="B14" s="181" t="s">
        <v>284</v>
      </c>
      <c r="C14" s="307">
        <v>9946</v>
      </c>
      <c r="D14" s="307">
        <v>10030</v>
      </c>
      <c r="E14" s="236" t="s">
        <v>285</v>
      </c>
      <c r="F14" s="231" t="s">
        <v>286</v>
      </c>
      <c r="G14" s="307">
        <v>4584</v>
      </c>
      <c r="H14" s="307">
        <v>7630</v>
      </c>
    </row>
    <row r="15" spans="1:8" ht="15">
      <c r="A15" s="185" t="s">
        <v>287</v>
      </c>
      <c r="B15" s="181" t="s">
        <v>288</v>
      </c>
      <c r="C15" s="307">
        <v>23200</v>
      </c>
      <c r="D15" s="307">
        <v>24251</v>
      </c>
      <c r="E15" s="236" t="s">
        <v>79</v>
      </c>
      <c r="F15" s="231" t="s">
        <v>289</v>
      </c>
      <c r="G15" s="307">
        <v>10989</v>
      </c>
      <c r="H15" s="307">
        <v>18348</v>
      </c>
    </row>
    <row r="16" spans="1:8" ht="15">
      <c r="A16" s="185" t="s">
        <v>290</v>
      </c>
      <c r="B16" s="181" t="s">
        <v>291</v>
      </c>
      <c r="C16" s="307">
        <v>4227</v>
      </c>
      <c r="D16" s="307">
        <v>4382</v>
      </c>
      <c r="E16" s="227" t="s">
        <v>52</v>
      </c>
      <c r="F16" s="255" t="s">
        <v>292</v>
      </c>
      <c r="G16" s="597">
        <f>SUM(G12:G15)</f>
        <v>340515</v>
      </c>
      <c r="H16" s="598">
        <f>SUM(H12:H15)</f>
        <v>365563</v>
      </c>
    </row>
    <row r="17" spans="1:8" ht="30.75">
      <c r="A17" s="185" t="s">
        <v>293</v>
      </c>
      <c r="B17" s="181" t="s">
        <v>294</v>
      </c>
      <c r="C17" s="307">
        <v>280061</v>
      </c>
      <c r="D17" s="307">
        <v>291875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29</v>
      </c>
      <c r="D18" s="307">
        <v>12</v>
      </c>
      <c r="E18" s="225" t="s">
        <v>297</v>
      </c>
      <c r="F18" s="229" t="s">
        <v>298</v>
      </c>
      <c r="G18" s="608">
        <v>1496</v>
      </c>
      <c r="H18" s="609">
        <v>20</v>
      </c>
    </row>
    <row r="19" spans="1:8" ht="15">
      <c r="A19" s="185" t="s">
        <v>299</v>
      </c>
      <c r="B19" s="181" t="s">
        <v>300</v>
      </c>
      <c r="C19" s="307">
        <v>7489</v>
      </c>
      <c r="D19" s="307">
        <v>7074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>
        <v>4204</v>
      </c>
      <c r="D20" s="307">
        <v>3297</v>
      </c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346914</v>
      </c>
      <c r="D22" s="598">
        <f>SUM(D12:D18)+D19</f>
        <v>361700</v>
      </c>
      <c r="E22" s="185" t="s">
        <v>309</v>
      </c>
      <c r="F22" s="228" t="s">
        <v>310</v>
      </c>
      <c r="G22" s="307">
        <v>94</v>
      </c>
      <c r="H22" s="307">
        <v>110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78</v>
      </c>
      <c r="H24" s="307"/>
    </row>
    <row r="25" spans="1:8" ht="30.75">
      <c r="A25" s="185" t="s">
        <v>316</v>
      </c>
      <c r="B25" s="228" t="s">
        <v>317</v>
      </c>
      <c r="C25" s="307">
        <v>829</v>
      </c>
      <c r="D25" s="307">
        <v>1071</v>
      </c>
      <c r="E25" s="185" t="s">
        <v>318</v>
      </c>
      <c r="F25" s="228" t="s">
        <v>319</v>
      </c>
      <c r="G25" s="307">
        <v>219</v>
      </c>
      <c r="H25" s="307">
        <v>117</v>
      </c>
    </row>
    <row r="26" spans="1:8" ht="30.75">
      <c r="A26" s="185" t="s">
        <v>320</v>
      </c>
      <c r="B26" s="228" t="s">
        <v>321</v>
      </c>
      <c r="C26" s="307">
        <v>428</v>
      </c>
      <c r="D26" s="307">
        <v>2823</v>
      </c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>
        <v>226</v>
      </c>
      <c r="D27" s="307">
        <v>131</v>
      </c>
      <c r="E27" s="227" t="s">
        <v>104</v>
      </c>
      <c r="F27" s="229" t="s">
        <v>326</v>
      </c>
      <c r="G27" s="597">
        <f>SUM(G22:G26)</f>
        <v>391</v>
      </c>
      <c r="H27" s="598">
        <f>SUM(H22:H26)</f>
        <v>227</v>
      </c>
    </row>
    <row r="28" spans="1:8" ht="15">
      <c r="A28" s="185" t="s">
        <v>79</v>
      </c>
      <c r="B28" s="228" t="s">
        <v>327</v>
      </c>
      <c r="C28" s="307">
        <v>926</v>
      </c>
      <c r="D28" s="307">
        <v>641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2409</v>
      </c>
      <c r="D29" s="598">
        <f>SUM(D25:D28)</f>
        <v>4666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349323</v>
      </c>
      <c r="D31" s="604">
        <f>D29+D22</f>
        <v>366366</v>
      </c>
      <c r="E31" s="242" t="s">
        <v>800</v>
      </c>
      <c r="F31" s="257" t="s">
        <v>331</v>
      </c>
      <c r="G31" s="244">
        <f>G16+G18+G27</f>
        <v>342402</v>
      </c>
      <c r="H31" s="245">
        <f>H16+H18+H27</f>
        <v>365810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6921</v>
      </c>
      <c r="H33" s="598">
        <f>IF((D31-H31)&gt;0,D31-H31,0)</f>
        <v>556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349323</v>
      </c>
      <c r="D36" s="606">
        <f>D31-D34+D35</f>
        <v>366366</v>
      </c>
      <c r="E36" s="253" t="s">
        <v>346</v>
      </c>
      <c r="F36" s="247" t="s">
        <v>347</v>
      </c>
      <c r="G36" s="258">
        <f>G35-G34+G31</f>
        <v>342402</v>
      </c>
      <c r="H36" s="259">
        <f>H35-H34+H31</f>
        <v>365810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6921</v>
      </c>
      <c r="H37" s="245">
        <f>IF((D36-H36)&gt;0,D36-H36,0)</f>
        <v>556</v>
      </c>
    </row>
    <row r="38" spans="1:8" ht="15">
      <c r="A38" s="225" t="s">
        <v>352</v>
      </c>
      <c r="B38" s="229" t="s">
        <v>353</v>
      </c>
      <c r="C38" s="597">
        <f>C39+C40+C41</f>
        <v>-735</v>
      </c>
      <c r="D38" s="598">
        <f>D39+D40+D41</f>
        <v>724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302</v>
      </c>
      <c r="D39" s="307">
        <v>3360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-1037</v>
      </c>
      <c r="D40" s="307">
        <v>-2636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6186</v>
      </c>
      <c r="H42" s="235">
        <f>IF(H37&gt;0,IF(D38+H37&lt;0,0,D38+H37),IF(D37-D38&lt;0,D38-D37,0))</f>
        <v>1280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882</v>
      </c>
      <c r="H43" s="607">
        <v>2344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1064</v>
      </c>
      <c r="E44" s="253" t="s">
        <v>369</v>
      </c>
      <c r="F44" s="260" t="s">
        <v>370</v>
      </c>
      <c r="G44" s="258">
        <f>IF(C42=0,IF(G42-G43&gt;0,G42-G43+C43,0),IF(C42-C43&lt;0,C43-C42+G43,0))</f>
        <v>5304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348588</v>
      </c>
      <c r="D45" s="600">
        <f>D36+D38+D42</f>
        <v>367090</v>
      </c>
      <c r="E45" s="261" t="s">
        <v>373</v>
      </c>
      <c r="F45" s="263" t="s">
        <v>374</v>
      </c>
      <c r="G45" s="599">
        <f>G42+G36</f>
        <v>348588</v>
      </c>
      <c r="H45" s="600">
        <f>H42+H36</f>
        <v>367090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44302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Стефан Гъндев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tr">
        <f>Начална!B17</f>
        <v>Марин Стоянов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">
      <c r="A59" s="662"/>
      <c r="B59" s="672"/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37" sqref="C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411184</v>
      </c>
      <c r="D11" s="188">
        <v>445870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-331101</v>
      </c>
      <c r="D12" s="188">
        <v>-366836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-27479</v>
      </c>
      <c r="D14" s="188">
        <v>-29391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-50450</v>
      </c>
      <c r="D15" s="188">
        <v>-48410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-615</v>
      </c>
      <c r="D16" s="188">
        <v>-2957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123</v>
      </c>
      <c r="D17" s="188">
        <v>133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-1260</v>
      </c>
      <c r="D18" s="188">
        <v>-1501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24</v>
      </c>
      <c r="D19" s="188">
        <v>-21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253</v>
      </c>
      <c r="D20" s="188">
        <v>-441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679</v>
      </c>
      <c r="D21" s="628">
        <f>SUM(D11:D20)</f>
        <v>-3554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-5822</v>
      </c>
      <c r="D23" s="188">
        <v>-7881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5361</v>
      </c>
      <c r="D24" s="188">
        <v>8974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-3949</v>
      </c>
      <c r="D28" s="188">
        <v>-2317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3725</v>
      </c>
      <c r="D29" s="188">
        <v>40890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-685</v>
      </c>
      <c r="D33" s="628">
        <f>SUM(D23:D32)</f>
        <v>39666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211323</v>
      </c>
      <c r="D37" s="188">
        <v>230752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-209377</v>
      </c>
      <c r="D38" s="188">
        <v>-265908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">
      <c r="A41" s="268" t="s">
        <v>435</v>
      </c>
      <c r="B41" s="169" t="s">
        <v>436</v>
      </c>
      <c r="C41" s="188">
        <v>-158</v>
      </c>
      <c r="D41" s="188">
        <v>-3</v>
      </c>
      <c r="E41" s="168"/>
      <c r="F41" s="168"/>
    </row>
    <row r="42" spans="1:8" ht="15">
      <c r="A42" s="268" t="s">
        <v>437</v>
      </c>
      <c r="B42" s="169" t="s">
        <v>438</v>
      </c>
      <c r="C42" s="188">
        <v>363</v>
      </c>
      <c r="D42" s="188">
        <v>-24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2151</v>
      </c>
      <c r="D43" s="630">
        <f>SUM(D35:D42)</f>
        <v>-35183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2145</v>
      </c>
      <c r="D44" s="298">
        <f>D43+D33+D21</f>
        <v>929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5855</v>
      </c>
      <c r="D45" s="300">
        <v>4926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8000</v>
      </c>
      <c r="D46" s="302">
        <f>D45+D44</f>
        <v>5855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8000</v>
      </c>
      <c r="D47" s="289">
        <v>5855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44302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Стефан Гъндев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71" t="str">
        <f>Начална!B17</f>
        <v>Марин Стоянов</v>
      </c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662"/>
      <c r="B62" s="672"/>
      <c r="C62" s="672"/>
      <c r="D62" s="672"/>
      <c r="E62" s="672"/>
      <c r="F62" s="543"/>
      <c r="G62" s="44"/>
      <c r="H62" s="41"/>
    </row>
    <row r="63" spans="1:8" ht="15">
      <c r="A63" s="662"/>
      <c r="B63" s="672"/>
      <c r="C63" s="672"/>
      <c r="D63" s="672"/>
      <c r="E63" s="672"/>
      <c r="F63" s="543"/>
      <c r="G63" s="44"/>
      <c r="H63" s="41"/>
    </row>
    <row r="64" spans="1:8" ht="15">
      <c r="A64" s="662"/>
      <c r="B64" s="672"/>
      <c r="C64" s="672"/>
      <c r="D64" s="672"/>
      <c r="E64" s="672"/>
      <c r="F64" s="543"/>
      <c r="G64" s="44"/>
      <c r="H64" s="41"/>
    </row>
    <row r="65" spans="1:8" ht="15">
      <c r="A65" s="662"/>
      <c r="B65" s="672"/>
      <c r="C65" s="672"/>
      <c r="D65" s="672"/>
      <c r="E65" s="672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SheetLayoutView="100" zoomScalePageLayoutView="0" workbookViewId="0" topLeftCell="A1">
      <selection activeCell="D27" sqref="D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80" t="s">
        <v>453</v>
      </c>
      <c r="B8" s="683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0">
      <c r="A9" s="681"/>
      <c r="B9" s="684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79" t="s">
        <v>458</v>
      </c>
      <c r="J9" s="679" t="s">
        <v>459</v>
      </c>
      <c r="K9" s="676"/>
      <c r="L9" s="676"/>
      <c r="M9" s="505" t="s">
        <v>801</v>
      </c>
      <c r="N9" s="501"/>
    </row>
    <row r="10" spans="1:14" s="502" customFormat="1" ht="30">
      <c r="A10" s="682"/>
      <c r="B10" s="685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24287</v>
      </c>
      <c r="E13" s="553">
        <f>'1-Баланс'!H21</f>
        <v>23033</v>
      </c>
      <c r="F13" s="553">
        <f>'1-Баланс'!H23</f>
        <v>5225</v>
      </c>
      <c r="G13" s="553">
        <f>'1-Баланс'!H24</f>
        <v>0</v>
      </c>
      <c r="H13" s="554"/>
      <c r="I13" s="553">
        <f>'1-Баланс'!H29+'1-Баланс'!H32</f>
        <v>151876</v>
      </c>
      <c r="J13" s="553">
        <f>'1-Баланс'!H30+'1-Баланс'!H33</f>
        <v>0</v>
      </c>
      <c r="K13" s="554"/>
      <c r="L13" s="553">
        <f>SUM(C13:K13)</f>
        <v>222780</v>
      </c>
      <c r="M13" s="555">
        <f>'1-Баланс'!H40</f>
        <v>28159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24287</v>
      </c>
      <c r="E17" s="622">
        <f t="shared" si="2"/>
        <v>23033</v>
      </c>
      <c r="F17" s="622">
        <f t="shared" si="2"/>
        <v>5225</v>
      </c>
      <c r="G17" s="622">
        <f t="shared" si="2"/>
        <v>0</v>
      </c>
      <c r="H17" s="622">
        <f t="shared" si="2"/>
        <v>0</v>
      </c>
      <c r="I17" s="622">
        <f t="shared" si="2"/>
        <v>151876</v>
      </c>
      <c r="J17" s="622">
        <f t="shared" si="2"/>
        <v>0</v>
      </c>
      <c r="K17" s="622">
        <f t="shared" si="2"/>
        <v>0</v>
      </c>
      <c r="L17" s="553">
        <f t="shared" si="1"/>
        <v>222780</v>
      </c>
      <c r="M17" s="623">
        <f t="shared" si="2"/>
        <v>28159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-5304</v>
      </c>
      <c r="K18" s="554"/>
      <c r="L18" s="553">
        <f t="shared" si="1"/>
        <v>-5304</v>
      </c>
      <c r="M18" s="607">
        <v>-882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696</v>
      </c>
      <c r="G19" s="159">
        <f t="shared" si="3"/>
        <v>0</v>
      </c>
      <c r="H19" s="159">
        <f t="shared" si="3"/>
        <v>0</v>
      </c>
      <c r="I19" s="159">
        <f t="shared" si="3"/>
        <v>-696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696</v>
      </c>
      <c r="G21" s="307"/>
      <c r="H21" s="307"/>
      <c r="I21" s="307">
        <v>-696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>
        <v>-9796</v>
      </c>
      <c r="E22" s="307"/>
      <c r="F22" s="307"/>
      <c r="G22" s="307"/>
      <c r="H22" s="307"/>
      <c r="I22" s="307"/>
      <c r="J22" s="307">
        <v>9796</v>
      </c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788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788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>
        <v>788</v>
      </c>
      <c r="F24" s="307"/>
      <c r="G24" s="307"/>
      <c r="H24" s="307"/>
      <c r="I24" s="307"/>
      <c r="J24" s="307"/>
      <c r="K24" s="307"/>
      <c r="L24" s="553">
        <f t="shared" si="1"/>
        <v>788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-844</v>
      </c>
      <c r="F30" s="307"/>
      <c r="G30" s="307"/>
      <c r="H30" s="307"/>
      <c r="I30" s="307">
        <v>10812</v>
      </c>
      <c r="J30" s="307"/>
      <c r="K30" s="307"/>
      <c r="L30" s="553">
        <f t="shared" si="1"/>
        <v>9968</v>
      </c>
      <c r="M30" s="308">
        <v>-11574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14491</v>
      </c>
      <c r="E31" s="622">
        <f t="shared" si="6"/>
        <v>22977</v>
      </c>
      <c r="F31" s="622">
        <f t="shared" si="6"/>
        <v>5921</v>
      </c>
      <c r="G31" s="622">
        <f t="shared" si="6"/>
        <v>0</v>
      </c>
      <c r="H31" s="622">
        <f t="shared" si="6"/>
        <v>0</v>
      </c>
      <c r="I31" s="622">
        <f t="shared" si="6"/>
        <v>161992</v>
      </c>
      <c r="J31" s="622">
        <f t="shared" si="6"/>
        <v>4492</v>
      </c>
      <c r="K31" s="622">
        <f t="shared" si="6"/>
        <v>0</v>
      </c>
      <c r="L31" s="553">
        <f t="shared" si="1"/>
        <v>228232</v>
      </c>
      <c r="M31" s="623">
        <f t="shared" si="6"/>
        <v>15703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14491</v>
      </c>
      <c r="E34" s="556">
        <f t="shared" si="7"/>
        <v>22977</v>
      </c>
      <c r="F34" s="556">
        <f t="shared" si="7"/>
        <v>5921</v>
      </c>
      <c r="G34" s="556">
        <f t="shared" si="7"/>
        <v>0</v>
      </c>
      <c r="H34" s="556">
        <f t="shared" si="7"/>
        <v>0</v>
      </c>
      <c r="I34" s="556">
        <f t="shared" si="7"/>
        <v>161992</v>
      </c>
      <c r="J34" s="556">
        <f t="shared" si="7"/>
        <v>4492</v>
      </c>
      <c r="K34" s="556">
        <f t="shared" si="7"/>
        <v>0</v>
      </c>
      <c r="L34" s="620">
        <f t="shared" si="1"/>
        <v>228232</v>
      </c>
      <c r="M34" s="557">
        <f>M31+M32+M33</f>
        <v>15703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44302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Стефан Гъндев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71" t="str">
        <f>Начална!B17</f>
        <v>Марин Стоянов</v>
      </c>
      <c r="C43" s="672"/>
      <c r="D43" s="672"/>
      <c r="E43" s="672"/>
      <c r="F43" s="543"/>
      <c r="G43" s="44"/>
      <c r="H43" s="41"/>
      <c r="M43" s="160"/>
    </row>
    <row r="44" spans="1:13" ht="1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">
      <c r="A49" s="662"/>
      <c r="B49" s="672"/>
      <c r="C49" s="672"/>
      <c r="D49" s="672"/>
      <c r="E49" s="672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SheetLayoutView="100" workbookViewId="0" topLeftCell="A1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34.5" customHeight="1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58669</v>
      </c>
      <c r="E11" s="319">
        <v>818</v>
      </c>
      <c r="F11" s="319">
        <v>1759</v>
      </c>
      <c r="G11" s="320">
        <f>D11+E11-F11</f>
        <v>57728</v>
      </c>
      <c r="H11" s="319">
        <v>93</v>
      </c>
      <c r="I11" s="319">
        <v>1379</v>
      </c>
      <c r="J11" s="320">
        <f>G11+H11-I11</f>
        <v>56442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56442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76369</v>
      </c>
      <c r="E12" s="319">
        <v>963</v>
      </c>
      <c r="F12" s="319">
        <v>2575</v>
      </c>
      <c r="G12" s="320">
        <f aca="true" t="shared" si="2" ref="G12:G41">D12+E12-F12</f>
        <v>74757</v>
      </c>
      <c r="H12" s="319">
        <v>100</v>
      </c>
      <c r="I12" s="319">
        <v>117</v>
      </c>
      <c r="J12" s="320">
        <f aca="true" t="shared" si="3" ref="J12:J41">G12+H12-I12</f>
        <v>74740</v>
      </c>
      <c r="K12" s="319">
        <v>25299</v>
      </c>
      <c r="L12" s="319">
        <v>2113</v>
      </c>
      <c r="M12" s="319">
        <v>1274</v>
      </c>
      <c r="N12" s="320">
        <f aca="true" t="shared" si="4" ref="N12:N41">K12+L12-M12</f>
        <v>26138</v>
      </c>
      <c r="O12" s="319">
        <v>4</v>
      </c>
      <c r="P12" s="319">
        <v>700</v>
      </c>
      <c r="Q12" s="320">
        <f t="shared" si="0"/>
        <v>25442</v>
      </c>
      <c r="R12" s="331">
        <f t="shared" si="1"/>
        <v>49298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33116</v>
      </c>
      <c r="E13" s="319">
        <v>530</v>
      </c>
      <c r="F13" s="319">
        <v>4133</v>
      </c>
      <c r="G13" s="320">
        <f t="shared" si="2"/>
        <v>29513</v>
      </c>
      <c r="H13" s="319"/>
      <c r="I13" s="319">
        <v>605</v>
      </c>
      <c r="J13" s="320">
        <f t="shared" si="3"/>
        <v>28908</v>
      </c>
      <c r="K13" s="319">
        <v>28258</v>
      </c>
      <c r="L13" s="319">
        <v>1263</v>
      </c>
      <c r="M13" s="319">
        <v>4097</v>
      </c>
      <c r="N13" s="320">
        <f t="shared" si="4"/>
        <v>25424</v>
      </c>
      <c r="O13" s="319"/>
      <c r="P13" s="319"/>
      <c r="Q13" s="320">
        <f t="shared" si="0"/>
        <v>25424</v>
      </c>
      <c r="R13" s="331">
        <f t="shared" si="1"/>
        <v>3484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46770</v>
      </c>
      <c r="E14" s="319">
        <v>165</v>
      </c>
      <c r="F14" s="319">
        <v>3697</v>
      </c>
      <c r="G14" s="320">
        <f t="shared" si="2"/>
        <v>43238</v>
      </c>
      <c r="H14" s="319"/>
      <c r="I14" s="319"/>
      <c r="J14" s="320">
        <f t="shared" si="3"/>
        <v>43238</v>
      </c>
      <c r="K14" s="319">
        <v>22420</v>
      </c>
      <c r="L14" s="319">
        <v>1524</v>
      </c>
      <c r="M14" s="319">
        <v>2103</v>
      </c>
      <c r="N14" s="320">
        <f t="shared" si="4"/>
        <v>21841</v>
      </c>
      <c r="O14" s="319"/>
      <c r="P14" s="319"/>
      <c r="Q14" s="320">
        <f t="shared" si="0"/>
        <v>21841</v>
      </c>
      <c r="R14" s="331">
        <f t="shared" si="1"/>
        <v>21397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34624</v>
      </c>
      <c r="E15" s="319">
        <v>835</v>
      </c>
      <c r="F15" s="319">
        <v>1458</v>
      </c>
      <c r="G15" s="320">
        <f t="shared" si="2"/>
        <v>34001</v>
      </c>
      <c r="H15" s="319"/>
      <c r="I15" s="319"/>
      <c r="J15" s="320">
        <f t="shared" si="3"/>
        <v>34001</v>
      </c>
      <c r="K15" s="319">
        <v>25301</v>
      </c>
      <c r="L15" s="319">
        <v>3508</v>
      </c>
      <c r="M15" s="319">
        <v>1186</v>
      </c>
      <c r="N15" s="320">
        <f t="shared" si="4"/>
        <v>27623</v>
      </c>
      <c r="O15" s="319"/>
      <c r="P15" s="319"/>
      <c r="Q15" s="320">
        <f t="shared" si="0"/>
        <v>27623</v>
      </c>
      <c r="R15" s="331">
        <f t="shared" si="1"/>
        <v>6378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6975</v>
      </c>
      <c r="E16" s="319">
        <v>553</v>
      </c>
      <c r="F16" s="319">
        <v>171</v>
      </c>
      <c r="G16" s="320">
        <f t="shared" si="2"/>
        <v>7357</v>
      </c>
      <c r="H16" s="319"/>
      <c r="I16" s="319"/>
      <c r="J16" s="320">
        <f t="shared" si="3"/>
        <v>7357</v>
      </c>
      <c r="K16" s="319">
        <v>6637</v>
      </c>
      <c r="L16" s="319">
        <v>618</v>
      </c>
      <c r="M16" s="319">
        <v>160</v>
      </c>
      <c r="N16" s="320">
        <f t="shared" si="4"/>
        <v>7095</v>
      </c>
      <c r="O16" s="319"/>
      <c r="P16" s="319"/>
      <c r="Q16" s="320">
        <f t="shared" si="0"/>
        <v>7095</v>
      </c>
      <c r="R16" s="331">
        <f t="shared" si="1"/>
        <v>262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3052</v>
      </c>
      <c r="E17" s="319">
        <v>3746</v>
      </c>
      <c r="F17" s="319">
        <v>3068</v>
      </c>
      <c r="G17" s="320">
        <f t="shared" si="2"/>
        <v>3730</v>
      </c>
      <c r="H17" s="319">
        <v>1</v>
      </c>
      <c r="I17" s="319">
        <v>5</v>
      </c>
      <c r="J17" s="320">
        <f t="shared" si="3"/>
        <v>3726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3726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7356</v>
      </c>
      <c r="E18" s="319">
        <v>575</v>
      </c>
      <c r="F18" s="319">
        <v>512</v>
      </c>
      <c r="G18" s="320">
        <f t="shared" si="2"/>
        <v>7419</v>
      </c>
      <c r="H18" s="319"/>
      <c r="I18" s="319"/>
      <c r="J18" s="320">
        <f t="shared" si="3"/>
        <v>7419</v>
      </c>
      <c r="K18" s="319">
        <v>4227</v>
      </c>
      <c r="L18" s="319">
        <v>825</v>
      </c>
      <c r="M18" s="319">
        <v>494</v>
      </c>
      <c r="N18" s="320">
        <f t="shared" si="4"/>
        <v>4558</v>
      </c>
      <c r="O18" s="319"/>
      <c r="P18" s="319"/>
      <c r="Q18" s="320">
        <f t="shared" si="0"/>
        <v>4558</v>
      </c>
      <c r="R18" s="331">
        <f t="shared" si="1"/>
        <v>2861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266931</v>
      </c>
      <c r="E19" s="321">
        <f>SUM(E11:E18)</f>
        <v>8185</v>
      </c>
      <c r="F19" s="321">
        <f>SUM(F11:F18)</f>
        <v>17373</v>
      </c>
      <c r="G19" s="320">
        <f t="shared" si="2"/>
        <v>257743</v>
      </c>
      <c r="H19" s="321">
        <f>SUM(H11:H18)</f>
        <v>194</v>
      </c>
      <c r="I19" s="321">
        <f>SUM(I11:I18)</f>
        <v>2106</v>
      </c>
      <c r="J19" s="320">
        <f>G19+H19-I19</f>
        <v>255831</v>
      </c>
      <c r="K19" s="321">
        <f>SUM(K11:K18)</f>
        <v>112142</v>
      </c>
      <c r="L19" s="321">
        <f>SUM(L11:L18)</f>
        <v>9851</v>
      </c>
      <c r="M19" s="321">
        <f>SUM(M11:M18)</f>
        <v>9314</v>
      </c>
      <c r="N19" s="320">
        <f t="shared" si="4"/>
        <v>112679</v>
      </c>
      <c r="O19" s="321">
        <f>SUM(O11:O18)</f>
        <v>4</v>
      </c>
      <c r="P19" s="321">
        <f>SUM(P11:P18)</f>
        <v>700</v>
      </c>
      <c r="Q19" s="320">
        <f t="shared" si="0"/>
        <v>111983</v>
      </c>
      <c r="R19" s="331">
        <f t="shared" si="1"/>
        <v>143848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81476</v>
      </c>
      <c r="E20" s="319">
        <v>1367</v>
      </c>
      <c r="F20" s="319">
        <v>2364</v>
      </c>
      <c r="G20" s="320">
        <f t="shared" si="2"/>
        <v>80479</v>
      </c>
      <c r="H20" s="319">
        <v>83</v>
      </c>
      <c r="I20" s="319">
        <v>116</v>
      </c>
      <c r="J20" s="320">
        <f t="shared" si="3"/>
        <v>80446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80446</v>
      </c>
    </row>
    <row r="21" spans="1:18" ht="15">
      <c r="A21" s="329" t="s">
        <v>805</v>
      </c>
      <c r="B21" s="667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245</v>
      </c>
      <c r="E23" s="319"/>
      <c r="F23" s="319">
        <v>7</v>
      </c>
      <c r="G23" s="320">
        <f t="shared" si="2"/>
        <v>238</v>
      </c>
      <c r="H23" s="319"/>
      <c r="I23" s="319"/>
      <c r="J23" s="320">
        <f t="shared" si="3"/>
        <v>238</v>
      </c>
      <c r="K23" s="319">
        <v>91</v>
      </c>
      <c r="L23" s="319">
        <v>27</v>
      </c>
      <c r="M23" s="319">
        <v>5</v>
      </c>
      <c r="N23" s="320">
        <f t="shared" si="4"/>
        <v>113</v>
      </c>
      <c r="O23" s="319"/>
      <c r="P23" s="319"/>
      <c r="Q23" s="320">
        <f t="shared" si="0"/>
        <v>113</v>
      </c>
      <c r="R23" s="331">
        <f t="shared" si="1"/>
        <v>125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868</v>
      </c>
      <c r="E24" s="319">
        <v>1397</v>
      </c>
      <c r="F24" s="319">
        <v>101</v>
      </c>
      <c r="G24" s="320">
        <f t="shared" si="2"/>
        <v>2164</v>
      </c>
      <c r="H24" s="319"/>
      <c r="I24" s="319"/>
      <c r="J24" s="320">
        <f t="shared" si="3"/>
        <v>2164</v>
      </c>
      <c r="K24" s="319">
        <v>764</v>
      </c>
      <c r="L24" s="319">
        <v>47</v>
      </c>
      <c r="M24" s="319">
        <v>101</v>
      </c>
      <c r="N24" s="320">
        <f t="shared" si="4"/>
        <v>710</v>
      </c>
      <c r="O24" s="319"/>
      <c r="P24" s="319"/>
      <c r="Q24" s="320">
        <f t="shared" si="0"/>
        <v>710</v>
      </c>
      <c r="R24" s="331">
        <f t="shared" si="1"/>
        <v>1454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486</v>
      </c>
      <c r="E26" s="319">
        <v>16</v>
      </c>
      <c r="F26" s="319">
        <v>19</v>
      </c>
      <c r="G26" s="320">
        <f t="shared" si="2"/>
        <v>483</v>
      </c>
      <c r="H26" s="319"/>
      <c r="I26" s="319"/>
      <c r="J26" s="320">
        <f t="shared" si="3"/>
        <v>483</v>
      </c>
      <c r="K26" s="319">
        <v>397</v>
      </c>
      <c r="L26" s="319">
        <v>21</v>
      </c>
      <c r="M26" s="319">
        <v>20</v>
      </c>
      <c r="N26" s="320">
        <f t="shared" si="4"/>
        <v>398</v>
      </c>
      <c r="O26" s="319"/>
      <c r="P26" s="319"/>
      <c r="Q26" s="320">
        <f t="shared" si="0"/>
        <v>398</v>
      </c>
      <c r="R26" s="331">
        <f t="shared" si="1"/>
        <v>85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1599</v>
      </c>
      <c r="E27" s="323">
        <f aca="true" t="shared" si="5" ref="E27:P27">SUM(E23:E26)</f>
        <v>1413</v>
      </c>
      <c r="F27" s="323">
        <f t="shared" si="5"/>
        <v>127</v>
      </c>
      <c r="G27" s="324">
        <f t="shared" si="2"/>
        <v>2885</v>
      </c>
      <c r="H27" s="323">
        <f t="shared" si="5"/>
        <v>0</v>
      </c>
      <c r="I27" s="323">
        <f t="shared" si="5"/>
        <v>0</v>
      </c>
      <c r="J27" s="324">
        <f t="shared" si="3"/>
        <v>2885</v>
      </c>
      <c r="K27" s="323">
        <f t="shared" si="5"/>
        <v>1252</v>
      </c>
      <c r="L27" s="323">
        <f t="shared" si="5"/>
        <v>95</v>
      </c>
      <c r="M27" s="323">
        <f t="shared" si="5"/>
        <v>126</v>
      </c>
      <c r="N27" s="324">
        <f t="shared" si="4"/>
        <v>1221</v>
      </c>
      <c r="O27" s="323">
        <f t="shared" si="5"/>
        <v>0</v>
      </c>
      <c r="P27" s="323">
        <f t="shared" si="5"/>
        <v>0</v>
      </c>
      <c r="Q27" s="324">
        <f t="shared" si="0"/>
        <v>1221</v>
      </c>
      <c r="R27" s="334">
        <f t="shared" si="1"/>
        <v>1664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39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39</v>
      </c>
      <c r="H29" s="326">
        <f t="shared" si="6"/>
        <v>0</v>
      </c>
      <c r="I29" s="326">
        <f t="shared" si="6"/>
        <v>0</v>
      </c>
      <c r="J29" s="327">
        <f t="shared" si="3"/>
        <v>39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39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39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39</v>
      </c>
      <c r="H40" s="321">
        <f t="shared" si="10"/>
        <v>0</v>
      </c>
      <c r="I40" s="321">
        <f t="shared" si="10"/>
        <v>0</v>
      </c>
      <c r="J40" s="320">
        <f t="shared" si="3"/>
        <v>39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39</v>
      </c>
    </row>
    <row r="41" spans="1:18" ht="1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350045</v>
      </c>
      <c r="E42" s="340">
        <f>E19+E20+E21+E27+E40+E41</f>
        <v>10965</v>
      </c>
      <c r="F42" s="340">
        <f aca="true" t="shared" si="11" ref="F42:R42">F19+F20+F21+F27+F40+F41</f>
        <v>19864</v>
      </c>
      <c r="G42" s="340">
        <f t="shared" si="11"/>
        <v>341146</v>
      </c>
      <c r="H42" s="340">
        <f t="shared" si="11"/>
        <v>277</v>
      </c>
      <c r="I42" s="340">
        <f t="shared" si="11"/>
        <v>2222</v>
      </c>
      <c r="J42" s="340">
        <f t="shared" si="11"/>
        <v>339201</v>
      </c>
      <c r="K42" s="340">
        <f t="shared" si="11"/>
        <v>113394</v>
      </c>
      <c r="L42" s="340">
        <f t="shared" si="11"/>
        <v>9946</v>
      </c>
      <c r="M42" s="340">
        <f t="shared" si="11"/>
        <v>9440</v>
      </c>
      <c r="N42" s="340">
        <f t="shared" si="11"/>
        <v>113900</v>
      </c>
      <c r="O42" s="340">
        <f t="shared" si="11"/>
        <v>4</v>
      </c>
      <c r="P42" s="340">
        <f t="shared" si="11"/>
        <v>700</v>
      </c>
      <c r="Q42" s="340">
        <f t="shared" si="11"/>
        <v>113204</v>
      </c>
      <c r="R42" s="341">
        <f t="shared" si="11"/>
        <v>225997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44302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Стефан Гъндев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71" t="str">
        <f>Начална!B17</f>
        <v>Марин Стоянов</v>
      </c>
      <c r="D50" s="672"/>
      <c r="E50" s="672"/>
      <c r="F50" s="672"/>
      <c r="G50" s="543"/>
      <c r="H50" s="44"/>
      <c r="I50" s="41"/>
    </row>
    <row r="51" spans="2:9" ht="15">
      <c r="B51" s="662"/>
      <c r="C51" s="672"/>
      <c r="D51" s="672"/>
      <c r="E51" s="672"/>
      <c r="F51" s="672"/>
      <c r="G51" s="543"/>
      <c r="H51" s="44"/>
      <c r="I51" s="41"/>
    </row>
    <row r="52" spans="2:9" ht="15">
      <c r="B52" s="662"/>
      <c r="C52" s="672"/>
      <c r="D52" s="672"/>
      <c r="E52" s="672"/>
      <c r="F52" s="672"/>
      <c r="G52" s="543"/>
      <c r="H52" s="44"/>
      <c r="I52" s="41"/>
    </row>
    <row r="53" spans="2:9" ht="15">
      <c r="B53" s="662"/>
      <c r="C53" s="672"/>
      <c r="D53" s="672"/>
      <c r="E53" s="672"/>
      <c r="F53" s="672"/>
      <c r="G53" s="543"/>
      <c r="H53" s="44"/>
      <c r="I53" s="41"/>
    </row>
    <row r="54" spans="2:9" ht="15">
      <c r="B54" s="662"/>
      <c r="C54" s="672"/>
      <c r="D54" s="672"/>
      <c r="E54" s="672"/>
      <c r="F54" s="672"/>
      <c r="G54" s="543"/>
      <c r="H54" s="44"/>
      <c r="I54" s="41"/>
    </row>
    <row r="55" spans="2:9" ht="15">
      <c r="B55" s="662"/>
      <c r="C55" s="672"/>
      <c r="D55" s="672"/>
      <c r="E55" s="672"/>
      <c r="F55" s="672"/>
      <c r="G55" s="543"/>
      <c r="H55" s="44"/>
      <c r="I55" s="41"/>
    </row>
    <row r="56" spans="2:9" ht="15">
      <c r="B56" s="662"/>
      <c r="C56" s="672"/>
      <c r="D56" s="672"/>
      <c r="E56" s="672"/>
      <c r="F56" s="672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SheetLayoutView="100" workbookViewId="0" topLeftCell="A1">
      <selection activeCell="C89" sqref="C89: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896</v>
      </c>
      <c r="D18" s="353">
        <f>+D19+D20</f>
        <v>0</v>
      </c>
      <c r="E18" s="360">
        <f t="shared" si="0"/>
        <v>896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896</v>
      </c>
      <c r="D20" s="359"/>
      <c r="E20" s="360">
        <f t="shared" si="0"/>
        <v>896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896</v>
      </c>
      <c r="D21" s="431">
        <f>D13+D17+D18</f>
        <v>0</v>
      </c>
      <c r="E21" s="432">
        <f>E13+E17+E18</f>
        <v>896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1812</v>
      </c>
      <c r="D23" s="434"/>
      <c r="E23" s="433">
        <f t="shared" si="0"/>
        <v>1812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32975</v>
      </c>
      <c r="D30" s="359">
        <v>32975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958</v>
      </c>
      <c r="D31" s="359">
        <v>958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2192</v>
      </c>
      <c r="D33" s="359">
        <v>2192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>
        <v>174</v>
      </c>
      <c r="D34" s="359">
        <v>174</v>
      </c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329</v>
      </c>
      <c r="D35" s="353">
        <f>SUM(D36:D39)</f>
        <v>329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74</v>
      </c>
      <c r="D36" s="359">
        <v>74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253</v>
      </c>
      <c r="D37" s="359">
        <v>253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2</v>
      </c>
      <c r="D39" s="359">
        <v>2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1821</v>
      </c>
      <c r="D40" s="353">
        <f>SUM(D41:D44)</f>
        <v>1821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1821</v>
      </c>
      <c r="D44" s="359">
        <v>1821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38449</v>
      </c>
      <c r="D45" s="429">
        <f>D26+D30+D31+D33+D32+D34+D35+D40</f>
        <v>38449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41157</v>
      </c>
      <c r="D46" s="435">
        <f>D45+D23+D21+D11</f>
        <v>38449</v>
      </c>
      <c r="E46" s="436">
        <f>E45+E23+E21+E11</f>
        <v>2708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260</v>
      </c>
      <c r="D54" s="129">
        <f>SUM(D55:D57)</f>
        <v>0</v>
      </c>
      <c r="E54" s="127">
        <f>C54-D54</f>
        <v>260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260</v>
      </c>
      <c r="D55" s="188"/>
      <c r="E55" s="127">
        <f>C55-D55</f>
        <v>260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4839</v>
      </c>
      <c r="D58" s="129">
        <f>D59+D61</f>
        <v>0</v>
      </c>
      <c r="E58" s="127">
        <f t="shared" si="1"/>
        <v>4839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3341</v>
      </c>
      <c r="D59" s="188"/>
      <c r="E59" s="127">
        <f t="shared" si="1"/>
        <v>3341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1498</v>
      </c>
      <c r="D61" s="188"/>
      <c r="E61" s="127">
        <f t="shared" si="1"/>
        <v>1498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1142</v>
      </c>
      <c r="D66" s="188"/>
      <c r="E66" s="127">
        <f t="shared" si="1"/>
        <v>1142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6241</v>
      </c>
      <c r="D68" s="426">
        <f>D54+D58+D63+D64+D65+D66</f>
        <v>0</v>
      </c>
      <c r="E68" s="427">
        <f t="shared" si="1"/>
        <v>6241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5620</v>
      </c>
      <c r="D70" s="188"/>
      <c r="E70" s="127">
        <f t="shared" si="1"/>
        <v>5620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25455</v>
      </c>
      <c r="D77" s="129">
        <f>D78+D80</f>
        <v>25455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23705</v>
      </c>
      <c r="D78" s="188">
        <v>23705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1750</v>
      </c>
      <c r="D80" s="188">
        <v>1750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23684</v>
      </c>
      <c r="D87" s="125">
        <f>SUM(D88:D92)+D96</f>
        <v>23684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14723</v>
      </c>
      <c r="D89" s="188">
        <v>14723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1277</v>
      </c>
      <c r="D90" s="188">
        <v>1277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1405</v>
      </c>
      <c r="D91" s="188">
        <v>1405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5717</v>
      </c>
      <c r="D92" s="129">
        <f>SUM(D93:D95)</f>
        <v>5717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236</v>
      </c>
      <c r="D93" s="188">
        <v>236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1181</v>
      </c>
      <c r="D94" s="188">
        <v>1181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4300</v>
      </c>
      <c r="D95" s="188">
        <v>4300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562</v>
      </c>
      <c r="D96" s="188">
        <v>562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14093</v>
      </c>
      <c r="D97" s="188">
        <v>14093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63232</v>
      </c>
      <c r="D98" s="424">
        <f>D87+D82+D77+D73+D97</f>
        <v>63232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75093</v>
      </c>
      <c r="D99" s="418">
        <f>D98+D70+D68</f>
        <v>63232</v>
      </c>
      <c r="E99" s="418">
        <f>E98+E70+E68</f>
        <v>11861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1363</v>
      </c>
      <c r="D104" s="207">
        <v>23</v>
      </c>
      <c r="E104" s="207"/>
      <c r="F104" s="412">
        <f>C104+D104-E104</f>
        <v>1386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1363</v>
      </c>
      <c r="D107" s="416">
        <f>SUM(D104:D106)</f>
        <v>23</v>
      </c>
      <c r="E107" s="416">
        <f>SUM(E104:E106)</f>
        <v>0</v>
      </c>
      <c r="F107" s="417">
        <f>SUM(F104:F106)</f>
        <v>1386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44302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Стефан Гъндев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tr">
        <f>Начална!B17</f>
        <v>Марин Стоянов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">
      <c r="A120" s="662"/>
      <c r="B120" s="672"/>
      <c r="C120" s="672"/>
      <c r="D120" s="672"/>
      <c r="E120" s="672"/>
      <c r="F120" s="672"/>
      <c r="G120" s="662"/>
      <c r="H120" s="662"/>
    </row>
    <row r="121" spans="1:8" ht="15">
      <c r="A121" s="662"/>
      <c r="B121" s="672"/>
      <c r="C121" s="672"/>
      <c r="D121" s="672"/>
      <c r="E121" s="672"/>
      <c r="F121" s="672"/>
      <c r="G121" s="662"/>
      <c r="H121" s="662"/>
    </row>
    <row r="122" spans="1:8" ht="1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21:F121"/>
    <mergeCell ref="B113:F113"/>
    <mergeCell ref="B114:F114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Normal="85" zoomScaleSheetLayoutView="100" zoomScalePageLayoutView="0" workbookViewId="0" topLeftCell="A1">
      <selection activeCell="D13" sqref="D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73151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73151</v>
      </c>
      <c r="D18" s="447">
        <f t="shared" si="1"/>
        <v>0</v>
      </c>
      <c r="E18" s="447">
        <f t="shared" si="1"/>
        <v>0</v>
      </c>
      <c r="F18" s="447">
        <f t="shared" si="1"/>
        <v>39</v>
      </c>
      <c r="G18" s="447">
        <f t="shared" si="1"/>
        <v>0</v>
      </c>
      <c r="H18" s="447">
        <f t="shared" si="1"/>
        <v>0</v>
      </c>
      <c r="I18" s="448">
        <f t="shared" si="0"/>
        <v>39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44302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Стефан Гъндев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71" t="str">
        <f>Начална!B17</f>
        <v>Марин Стоянов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318689</v>
      </c>
      <c r="D6" s="643">
        <f aca="true" t="shared" si="0" ref="D6:D15">C6-E6</f>
        <v>0</v>
      </c>
      <c r="E6" s="642">
        <f>'1-Баланс'!G95</f>
        <v>318689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228232</v>
      </c>
      <c r="D7" s="643">
        <f t="shared" si="0"/>
        <v>209873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-5304</v>
      </c>
      <c r="D8" s="643">
        <f t="shared" si="0"/>
        <v>0</v>
      </c>
      <c r="E8" s="642">
        <f>ABS('2-Отчет за доходите'!C44)-ABS('2-Отчет за доходите'!G44)</f>
        <v>-5304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5855</v>
      </c>
      <c r="D9" s="643">
        <f t="shared" si="0"/>
        <v>0</v>
      </c>
      <c r="E9" s="642">
        <f>'3-Отчет за паричния поток'!C45</f>
        <v>5855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8000</v>
      </c>
      <c r="D10" s="643">
        <f t="shared" si="0"/>
        <v>0</v>
      </c>
      <c r="E10" s="642">
        <f>'3-Отчет за паричния поток'!C46</f>
        <v>8000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228232</v>
      </c>
      <c r="D11" s="643">
        <f t="shared" si="0"/>
        <v>0</v>
      </c>
      <c r="E11" s="642">
        <f>'4-Отчет за собствения капитал'!L34</f>
        <v>228232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2021-04-22T07:14:18Z</cp:lastPrinted>
  <dcterms:created xsi:type="dcterms:W3CDTF">2006-09-16T00:00:00Z</dcterms:created>
  <dcterms:modified xsi:type="dcterms:W3CDTF">2021-04-28T11:36:13Z</dcterms:modified>
  <cp:category/>
  <cp:version/>
  <cp:contentType/>
  <cp:contentStatus/>
</cp:coreProperties>
</file>